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ike\Documents\Excel\RDS financials 2023 -\"/>
    </mc:Choice>
  </mc:AlternateContent>
  <bookViews>
    <workbookView xWindow="0" yWindow="0" windowWidth="23040" windowHeight="9192"/>
  </bookViews>
  <sheets>
    <sheet name="RDS P&amp;L November 2022" sheetId="1" r:id="rId1"/>
    <sheet name="RDS 2022 Members" sheetId="2" state="hidden" r:id="rId2"/>
    <sheet name="RDS Bal Sheet Nov 30 2022" sheetId="3" state="hidden" r:id="rId3"/>
  </sheets>
  <calcPr calcId="162913"/>
</workbook>
</file>

<file path=xl/calcChain.xml><?xml version="1.0" encoding="utf-8"?>
<calcChain xmlns="http://schemas.openxmlformats.org/spreadsheetml/2006/main">
  <c r="G67" i="1" l="1"/>
  <c r="D73" i="1" l="1"/>
  <c r="G36" i="1"/>
  <c r="F73" i="1" l="1"/>
  <c r="G73" i="1" s="1"/>
  <c r="G70" i="1"/>
  <c r="G69" i="1"/>
  <c r="G68" i="1"/>
  <c r="G66" i="1"/>
  <c r="G44" i="1"/>
  <c r="G39" i="1"/>
  <c r="G38" i="1"/>
  <c r="G37" i="1"/>
  <c r="G28" i="1"/>
  <c r="G22" i="1"/>
  <c r="B25" i="3" l="1"/>
  <c r="B24" i="3"/>
  <c r="B23" i="3"/>
  <c r="B26" i="3" s="1"/>
  <c r="B19" i="3"/>
  <c r="B20" i="3" s="1"/>
  <c r="B21" i="3" s="1"/>
  <c r="B12" i="3"/>
  <c r="B13" i="3" s="1"/>
  <c r="B9" i="3"/>
  <c r="B10" i="3" s="1"/>
  <c r="B14" i="3" s="1"/>
  <c r="B15" i="3" s="1"/>
  <c r="B72" i="1"/>
  <c r="B70" i="1"/>
  <c r="B69" i="1"/>
  <c r="B68" i="1"/>
  <c r="B65" i="1"/>
  <c r="B64" i="1"/>
  <c r="B63" i="1"/>
  <c r="B60" i="1"/>
  <c r="B59" i="1"/>
  <c r="B57" i="1"/>
  <c r="B56" i="1"/>
  <c r="B55" i="1"/>
  <c r="B54" i="1"/>
  <c r="B51" i="1"/>
  <c r="B52" i="1" s="1"/>
  <c r="B48" i="1"/>
  <c r="B43" i="1"/>
  <c r="B44" i="1" s="1"/>
  <c r="B41" i="1"/>
  <c r="B39" i="1"/>
  <c r="B38" i="1"/>
  <c r="B35" i="1"/>
  <c r="B34" i="1"/>
  <c r="B37" i="1" s="1"/>
  <c r="B30" i="1"/>
  <c r="B29" i="1"/>
  <c r="B31" i="1" s="1"/>
  <c r="B27" i="1"/>
  <c r="B26" i="1"/>
  <c r="B25" i="1"/>
  <c r="B24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22" i="1" l="1"/>
  <c r="B71" i="1"/>
  <c r="B40" i="1"/>
  <c r="B28" i="1"/>
  <c r="B58" i="1"/>
  <c r="B61" i="1" s="1"/>
  <c r="B66" i="1"/>
  <c r="B27" i="3"/>
  <c r="B73" i="1" l="1"/>
  <c r="B45" i="1"/>
  <c r="B46" i="1" s="1"/>
  <c r="B74" i="1" l="1"/>
  <c r="B75" i="1" s="1"/>
</calcChain>
</file>

<file path=xl/sharedStrings.xml><?xml version="1.0" encoding="utf-8"?>
<sst xmlns="http://schemas.openxmlformats.org/spreadsheetml/2006/main" count="366" uniqueCount="235">
  <si>
    <t>Total</t>
  </si>
  <si>
    <t xml:space="preserve">   2022 Annual Dues</t>
  </si>
  <si>
    <t xml:space="preserve">      2022 Business Partner, Tier 1</t>
  </si>
  <si>
    <t xml:space="preserve">      2022 Grower Tier 1</t>
  </si>
  <si>
    <t xml:space="preserve">      2022 Grower Tier 2</t>
  </si>
  <si>
    <t xml:space="preserve">      2022 Grower Tier 3</t>
  </si>
  <si>
    <t xml:space="preserve">      2022 Grower Tier 4</t>
  </si>
  <si>
    <t xml:space="preserve">      2022 Grower Tier 5</t>
  </si>
  <si>
    <t xml:space="preserve">      2022 Pioneer Membership</t>
  </si>
  <si>
    <t xml:space="preserve">      2022 Wine Tier 1</t>
  </si>
  <si>
    <t xml:space="preserve">      2022 Wine Tier 2</t>
  </si>
  <si>
    <t xml:space="preserve">      2022 Wine Tier 3</t>
  </si>
  <si>
    <t xml:space="preserve">      2022 Winery Tier 1</t>
  </si>
  <si>
    <t xml:space="preserve">      2022 Winery Tier 2</t>
  </si>
  <si>
    <t xml:space="preserve">      2022 Winery Tier 3</t>
  </si>
  <si>
    <t xml:space="preserve">      2022 Winery Tier 4</t>
  </si>
  <si>
    <t xml:space="preserve">   Chili Ball 2022</t>
  </si>
  <si>
    <t xml:space="preserve">      2022 Chili Ball Drinks &amp; Merchandise</t>
  </si>
  <si>
    <t xml:space="preserve">      Chili Ball 2022 Fund-A-Need</t>
  </si>
  <si>
    <t xml:space="preserve">      Chili Ball 2022 Silent Auction</t>
  </si>
  <si>
    <t xml:space="preserve">      Chili Ball 2022 Tickets</t>
  </si>
  <si>
    <t xml:space="preserve">   Donation</t>
  </si>
  <si>
    <t xml:space="preserve">   Total Donation</t>
  </si>
  <si>
    <t xml:space="preserve">   Events Sales</t>
  </si>
  <si>
    <t xml:space="preserve">      Annual Meeting</t>
  </si>
  <si>
    <t xml:space="preserve">         Annual Meeting Raffle</t>
  </si>
  <si>
    <t xml:space="preserve">         Annual Meeting Tickets</t>
  </si>
  <si>
    <t xml:space="preserve">   Total Events Sales</t>
  </si>
  <si>
    <t xml:space="preserve">   Promotional Items</t>
  </si>
  <si>
    <t xml:space="preserve">   Wine Sales</t>
  </si>
  <si>
    <t xml:space="preserve">      Live Virtual Training</t>
  </si>
  <si>
    <t>Total Income</t>
  </si>
  <si>
    <t>Gross Profit</t>
  </si>
  <si>
    <t>Expenses</t>
  </si>
  <si>
    <t xml:space="preserve">   Donations</t>
  </si>
  <si>
    <t xml:space="preserve">   Event Expenses</t>
  </si>
  <si>
    <t xml:space="preserve">      2021 Chili Ball</t>
  </si>
  <si>
    <t xml:space="preserve">         2021 Chili Ball Marketing</t>
  </si>
  <si>
    <t xml:space="preserve">      Total 2021 Chili Ball</t>
  </si>
  <si>
    <t xml:space="preserve">      2022 Chili Ball</t>
  </si>
  <si>
    <t xml:space="preserve">         2022 Chili Ball Entertainment</t>
  </si>
  <si>
    <t xml:space="preserve">         2022 Chili Ball Food</t>
  </si>
  <si>
    <t xml:space="preserve">         2022 Chili Ball Marketing</t>
  </si>
  <si>
    <t xml:space="preserve">         2022 Chili Ball Supplies</t>
  </si>
  <si>
    <t xml:space="preserve">      Total 2022 Chili Ball</t>
  </si>
  <si>
    <t xml:space="preserve">      Premier Napa Valley Event</t>
  </si>
  <si>
    <t xml:space="preserve">   Total Event Expenses</t>
  </si>
  <si>
    <t xml:space="preserve">   G and A</t>
  </si>
  <si>
    <t xml:space="preserve">      CPA and Bookeeping</t>
  </si>
  <si>
    <t xml:space="preserve">      Office, Postage, PO Box</t>
  </si>
  <si>
    <t xml:space="preserve">      Website</t>
  </si>
  <si>
    <t xml:space="preserve">   Total Marketing</t>
  </si>
  <si>
    <t xml:space="preserve">   Rutherford Depot Expense</t>
  </si>
  <si>
    <t>Net Operating Income</t>
  </si>
  <si>
    <t>Net Income</t>
  </si>
  <si>
    <t>Friday, Dec 02, 2022 01:23:21 PM GMT-8 - Accrual Basis</t>
  </si>
  <si>
    <t>Rutherford Dust</t>
  </si>
  <si>
    <t>December 2021 - November 2022</t>
  </si>
  <si>
    <t>Transaction Report</t>
  </si>
  <si>
    <t>Date</t>
  </si>
  <si>
    <t>Transaction Type</t>
  </si>
  <si>
    <t>Name</t>
  </si>
  <si>
    <t>Memo/Description</t>
  </si>
  <si>
    <t>Account</t>
  </si>
  <si>
    <t>Amount</t>
  </si>
  <si>
    <t>2022 Annual Dues</t>
  </si>
  <si>
    <t xml:space="preserve">   2022 Business Partner, Tier 1</t>
  </si>
  <si>
    <t>07/14/2022</t>
  </si>
  <si>
    <t>Deposit</t>
  </si>
  <si>
    <t>Halloran Antiques, Business Partner Tier 1</t>
  </si>
  <si>
    <t>2022 Annual Dues:2022 Business Partner, Tier 1</t>
  </si>
  <si>
    <t xml:space="preserve">   Total for 2022 Business Partner, Tier 1</t>
  </si>
  <si>
    <t xml:space="preserve">   2022 Grower Tier 1</t>
  </si>
  <si>
    <t>03/02/2022</t>
  </si>
  <si>
    <t>Campbell Vineyard, Grower Tier 1</t>
  </si>
  <si>
    <t>2022 Annual Dues:2022 Grower Tier 1</t>
  </si>
  <si>
    <t>Bella Oaks, Grower Tier 1</t>
  </si>
  <si>
    <t>03/15/2022</t>
  </si>
  <si>
    <t>Greer Vineyards, Grower Tier 1</t>
  </si>
  <si>
    <t>Godward Vineyard, Grower Tier 1</t>
  </si>
  <si>
    <t>Akrasia Cellars, Grower Tier 1</t>
  </si>
  <si>
    <t>03/21/2022</t>
  </si>
  <si>
    <t>Grand Napa Vineyards, Grower Tier 1</t>
  </si>
  <si>
    <t>03/23/2022</t>
  </si>
  <si>
    <t>Avenali, Grower Tier 1</t>
  </si>
  <si>
    <t>03/29/2022</t>
  </si>
  <si>
    <t>Wheeler Lane Vineyard, Grower Tier 1</t>
  </si>
  <si>
    <t>04/07/2022</t>
  </si>
  <si>
    <t>Morisoli-Borges Vineyard, Grower Tier 1</t>
  </si>
  <si>
    <t>Scarecrow Wine, Grower Tier 1</t>
  </si>
  <si>
    <t>04/13/2022</t>
  </si>
  <si>
    <t>Vintage Oaks Ranch, Grower, Tier 1</t>
  </si>
  <si>
    <t>WalDun, Grower Tier 1</t>
  </si>
  <si>
    <t>04/25/2022</t>
  </si>
  <si>
    <t>Davis Estates, Grower Tier 1</t>
  </si>
  <si>
    <t>06/30/2022</t>
  </si>
  <si>
    <t>Neal Family Vineyards, Grower, Tier 1</t>
  </si>
  <si>
    <t>11/04/2022</t>
  </si>
  <si>
    <t>Sacrashe Vineyard, Grower Tier 1</t>
  </si>
  <si>
    <t xml:space="preserve">   Total for 2022 Grower Tier 1</t>
  </si>
  <si>
    <t xml:space="preserve">   2022 Grower Tier 2</t>
  </si>
  <si>
    <t>03/07/2022</t>
  </si>
  <si>
    <t>Chavez and Leeds</t>
  </si>
  <si>
    <t>Chavez &amp; Leeds, Grower Tier 2</t>
  </si>
  <si>
    <t>2022 Annual Dues:2022 Grower Tier 2</t>
  </si>
  <si>
    <t>Star Vineyards, Grower Tier 2</t>
  </si>
  <si>
    <t>04/29/2022</t>
  </si>
  <si>
    <t>Morisoli Vineyards, Grower Tier 2</t>
  </si>
  <si>
    <t>07/19/2022</t>
  </si>
  <si>
    <t>Pina Vineyard Management, Grower Tier 2</t>
  </si>
  <si>
    <t xml:space="preserve">   Total for 2022 Grower Tier 2</t>
  </si>
  <si>
    <t xml:space="preserve">   2022 Grower Tier 3</t>
  </si>
  <si>
    <t>Bettinelli Vineyards, Grower Tier 3</t>
  </si>
  <si>
    <t>2022 Annual Dues:2022 Grower Tier 3</t>
  </si>
  <si>
    <t>Long Meadow Ranch, Grower Tier 3</t>
  </si>
  <si>
    <t>05/12/2022</t>
  </si>
  <si>
    <t>Ithaca Vineyard, Grower Tier 3</t>
  </si>
  <si>
    <t xml:space="preserve">   Total for 2022 Grower Tier 3</t>
  </si>
  <si>
    <t xml:space="preserve">   2022 Grower Tier 4</t>
  </si>
  <si>
    <t>Frank Family Vineyards</t>
  </si>
  <si>
    <t>Frank Family Vineyards, Grower Tier 4</t>
  </si>
  <si>
    <t>2022 Annual Dues:2022 Grower Tier 4</t>
  </si>
  <si>
    <t xml:space="preserve">   Total for 2022 Grower Tier 4</t>
  </si>
  <si>
    <t xml:space="preserve">   2022 Grower Tier 5</t>
  </si>
  <si>
    <t>Beckstoffer Vineyards, Grower Tier 5</t>
  </si>
  <si>
    <t>2022 Annual Dues:2022 Grower Tier 5</t>
  </si>
  <si>
    <t xml:space="preserve">   Total for 2022 Grower Tier 5</t>
  </si>
  <si>
    <t xml:space="preserve">   2022 Pioneer Membership</t>
  </si>
  <si>
    <t>07/21/2022</t>
  </si>
  <si>
    <t>Genesis Monnet, Pioneer Member</t>
  </si>
  <si>
    <t>2022 Annual Dues:2022 Pioneer Membership</t>
  </si>
  <si>
    <t>09/21/2022</t>
  </si>
  <si>
    <t>Sean &amp; Bethany Popock</t>
  </si>
  <si>
    <t xml:space="preserve">   Total for 2022 Pioneer Membership</t>
  </si>
  <si>
    <t xml:space="preserve">   2022 Wine Tier 1</t>
  </si>
  <si>
    <t>03/04/2022</t>
  </si>
  <si>
    <t>Amici Cellars, Wine Tier 1</t>
  </si>
  <si>
    <t>2022 Annual Dues:2022 Wine Tier 1</t>
  </si>
  <si>
    <t>03/16/2022</t>
  </si>
  <si>
    <t>S.R. Tonella Cellars, Wine Tier 1</t>
  </si>
  <si>
    <t>Monticello Cellars, Wine Tier 1</t>
  </si>
  <si>
    <t xml:space="preserve">   Total for 2022 Wine Tier 1</t>
  </si>
  <si>
    <t xml:space="preserve">   2022 Wine Tier 2</t>
  </si>
  <si>
    <t>Elyse Winery, Wine Tier 2</t>
  </si>
  <si>
    <t>2022 Annual Dues:2022 Wine Tier 2</t>
  </si>
  <si>
    <t>Kale Wines, Wine Tier 2</t>
  </si>
  <si>
    <t>Mathew Bruno Wines, Wine Tier 2</t>
  </si>
  <si>
    <t xml:space="preserve">   Total for 2022 Wine Tier 2</t>
  </si>
  <si>
    <t xml:space="preserve">   2022 Wine Tier 3</t>
  </si>
  <si>
    <t>V. Sattui Winery, Wine Tier 3</t>
  </si>
  <si>
    <t>2022 Annual Dues:2022 Wine Tier 3</t>
  </si>
  <si>
    <t xml:space="preserve">   Total for 2022 Wine Tier 3</t>
  </si>
  <si>
    <t xml:space="preserve">   2022 Winery Tier 1</t>
  </si>
  <si>
    <t>03/17/2022</t>
  </si>
  <si>
    <t>Martin Estate</t>
  </si>
  <si>
    <t>Martin Estate, Winery Tier 1</t>
  </si>
  <si>
    <t>2022 Annual Dues:2022 Winery Tier 1</t>
  </si>
  <si>
    <t>Heritance Vintners, Winery Tier 1</t>
  </si>
  <si>
    <t>Rutherford Ranch, Winery Tier 1</t>
  </si>
  <si>
    <t>Flora Springs, Winery Tier 1</t>
  </si>
  <si>
    <t xml:space="preserve">   Total for 2022 Winery Tier 1</t>
  </si>
  <si>
    <t xml:space="preserve">   2022 Winery Tier 2</t>
  </si>
  <si>
    <t>Conn Creek, Winery Tier 2</t>
  </si>
  <si>
    <t>2022 Annual Dues:2022 Winery Tier 2</t>
  </si>
  <si>
    <t>Pestoni Family Estate Winery, Winery Tier 2</t>
  </si>
  <si>
    <t>St. Supery, Winery Tier 2</t>
  </si>
  <si>
    <t>William Harrison Vineyard, Winery Tier 2</t>
  </si>
  <si>
    <t>Sequoia Grove Vineyards, Winery Tier 2</t>
  </si>
  <si>
    <t>Pina Cellars, Winery Tier 2</t>
  </si>
  <si>
    <t>11/14/2022</t>
  </si>
  <si>
    <t>Tres Sabores, Winery Tier 2</t>
  </si>
  <si>
    <t xml:space="preserve">   Total for 2022 Winery Tier 2</t>
  </si>
  <si>
    <t xml:space="preserve">   2022 Winery Tier 3</t>
  </si>
  <si>
    <t>Peju Family Winery, Winery Tier 3</t>
  </si>
  <si>
    <t>2022 Annual Dues:2022 Winery Tier 3</t>
  </si>
  <si>
    <t>Rutherford Hill Winery, Winery Tier 3</t>
  </si>
  <si>
    <t>Honig Vineyard &amp; Winery, Winery Tier 3</t>
  </si>
  <si>
    <t>04/22/2022</t>
  </si>
  <si>
    <t>Alpha Omega Winery</t>
  </si>
  <si>
    <t>Alpha Omega Winery, Winery Tier 3</t>
  </si>
  <si>
    <t>Quintessa, Winery Tier 3</t>
  </si>
  <si>
    <t>Frogs Leap, Winery Tier 3</t>
  </si>
  <si>
    <t xml:space="preserve">   Total for 2022 Winery Tier 3</t>
  </si>
  <si>
    <t xml:space="preserve">   2022 Winery Tier 4</t>
  </si>
  <si>
    <t>03/08/2022</t>
  </si>
  <si>
    <t>Beaulieu Vineyard, Winery Tier 4</t>
  </si>
  <si>
    <t>2022 Annual Dues:2022 Winery Tier 4</t>
  </si>
  <si>
    <t>Grgich Hill Estates, Winery Tier 4</t>
  </si>
  <si>
    <t>Raymond, Winery Tier 4</t>
  </si>
  <si>
    <t xml:space="preserve">   Total for 2022 Winery Tier 4</t>
  </si>
  <si>
    <t>Total for 2022 Annual Dues</t>
  </si>
  <si>
    <t>TOTAL</t>
  </si>
  <si>
    <t>Friday, Dec 02, 2022 01:23:40 PM GMT-8 - Accrual Basis</t>
  </si>
  <si>
    <t>Balance Sheet</t>
  </si>
  <si>
    <t>As of November 30, 2022</t>
  </si>
  <si>
    <t>ASSETS</t>
  </si>
  <si>
    <t xml:space="preserve">   Current Assets</t>
  </si>
  <si>
    <t xml:space="preserve">      Bank Accounts</t>
  </si>
  <si>
    <t xml:space="preserve">         CHASE RDS</t>
  </si>
  <si>
    <t xml:space="preserve">      Total Bank Accounts</t>
  </si>
  <si>
    <t xml:space="preserve">      Other Current Assets</t>
  </si>
  <si>
    <t xml:space="preserve">         Donated Wine</t>
  </si>
  <si>
    <t xml:space="preserve">      Total Other Current Assets</t>
  </si>
  <si>
    <t xml:space="preserve">   Total Current Assets</t>
  </si>
  <si>
    <t>TOTAL ASSETS</t>
  </si>
  <si>
    <t>LIABILITIES AND EQUITY</t>
  </si>
  <si>
    <t xml:space="preserve">   Liabilities</t>
  </si>
  <si>
    <t xml:space="preserve">      Long-Term Liabilities</t>
  </si>
  <si>
    <t xml:space="preserve">         SBA EIDL Loan</t>
  </si>
  <si>
    <t xml:space="preserve">      Total Long-Term Liabilities</t>
  </si>
  <si>
    <t xml:space="preserve">   Total Liabilities</t>
  </si>
  <si>
    <t xml:space="preserve">   Equity</t>
  </si>
  <si>
    <t xml:space="preserve">      Retained Earnings</t>
  </si>
  <si>
    <t xml:space="preserve">      Unrestricted Net Assets</t>
  </si>
  <si>
    <t xml:space="preserve">      Net Income</t>
  </si>
  <si>
    <t xml:space="preserve">   Total Equity</t>
  </si>
  <si>
    <t>TOTAL LIABILITIES AND EQUITY</t>
  </si>
  <si>
    <t>Friday, Dec 02, 2022 01:24:07 PM GMT-8 - Accrual Basis</t>
  </si>
  <si>
    <t>?</t>
  </si>
  <si>
    <t xml:space="preserve"> </t>
  </si>
  <si>
    <t xml:space="preserve">   Chili Ball 2022 Sponsorships</t>
  </si>
  <si>
    <t xml:space="preserve">   Cabernet By the Bay</t>
  </si>
  <si>
    <t xml:space="preserve">   Merchant Bank Fees</t>
  </si>
  <si>
    <t xml:space="preserve">Item </t>
  </si>
  <si>
    <t xml:space="preserve">   Total  </t>
  </si>
  <si>
    <t xml:space="preserve">   Premiere Napa Valley </t>
  </si>
  <si>
    <t xml:space="preserve">   Annual Meeting</t>
  </si>
  <si>
    <t xml:space="preserve">   Annual Dues</t>
  </si>
  <si>
    <t xml:space="preserve">   Chili Ball </t>
  </si>
  <si>
    <t xml:space="preserve">   Wine Sales &amp; Promo Items</t>
  </si>
  <si>
    <t xml:space="preserve">   Executive Director</t>
  </si>
  <si>
    <t>Revenue</t>
  </si>
  <si>
    <t xml:space="preserve">   Interest/taxes/penalties</t>
  </si>
  <si>
    <t xml:space="preserve">   Misc. Marketing</t>
  </si>
  <si>
    <t xml:space="preserve">2024 RDS Financial Summary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</si>
</sst>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0\ _€"/>
    <numFmt numFmtId="165" formatCode="&quot;$&quot;* #,##0.00\ _€"/>
    <numFmt numFmtId="166" formatCode="&quot;$&quot;#,##0.00"/>
  </numFmts>
  <fonts count="14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6"/>
      <color indexed="8"/>
      <name val="Arial"/>
      <family val="2"/>
    </font>
    <font>
      <sz val="16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0" fillId="0" borderId="0" xfId="0" applyFont="1"/>
    <xf numFmtId="0" fontId="9" fillId="0" borderId="0" xfId="0" applyFont="1" applyAlignment="1">
      <alignment horizontal="left" wrapText="1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 applyAlignment="1">
      <alignment horizontal="right" wrapText="1"/>
    </xf>
    <xf numFmtId="165" fontId="9" fillId="0" borderId="2" xfId="0" applyNumberFormat="1" applyFont="1" applyBorder="1" applyAlignment="1">
      <alignment horizontal="right" wrapText="1"/>
    </xf>
    <xf numFmtId="164" fontId="11" fillId="2" borderId="0" xfId="0" applyNumberFormat="1" applyFont="1" applyFill="1" applyAlignment="1">
      <alignment horizontal="right" wrapText="1"/>
    </xf>
    <xf numFmtId="0" fontId="9" fillId="0" borderId="1" xfId="0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right" wrapText="1"/>
    </xf>
    <xf numFmtId="0" fontId="10" fillId="0" borderId="1" xfId="0" applyFont="1" applyBorder="1"/>
    <xf numFmtId="165" fontId="9" fillId="0" borderId="0" xfId="0" applyNumberFormat="1" applyFont="1" applyBorder="1" applyAlignment="1">
      <alignment horizontal="right" wrapText="1"/>
    </xf>
    <xf numFmtId="165" fontId="9" fillId="0" borderId="3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/>
    <xf numFmtId="44" fontId="12" fillId="0" borderId="1" xfId="1" applyFont="1" applyBorder="1" applyAlignment="1">
      <alignment horizontal="center"/>
    </xf>
    <xf numFmtId="166" fontId="10" fillId="0" borderId="0" xfId="1" applyNumberFormat="1" applyFont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0" fillId="0" borderId="1" xfId="1" applyNumberFormat="1" applyFont="1" applyBorder="1" applyAlignment="1">
      <alignment horizontal="center"/>
    </xf>
    <xf numFmtId="0" fontId="10" fillId="0" borderId="0" xfId="0" applyFont="1"/>
    <xf numFmtId="166" fontId="13" fillId="0" borderId="0" xfId="1" applyNumberFormat="1" applyFont="1" applyAlignment="1">
      <alignment horizontal="center"/>
    </xf>
    <xf numFmtId="0" fontId="13" fillId="0" borderId="0" xfId="0" applyFont="1"/>
    <xf numFmtId="44" fontId="10" fillId="0" borderId="0" xfId="1" applyFont="1" applyAlignment="1">
      <alignment horizontal="center"/>
    </xf>
    <xf numFmtId="8" fontId="10" fillId="0" borderId="0" xfId="1" applyNumberFormat="1" applyFont="1" applyAlignment="1">
      <alignment horizontal="center"/>
    </xf>
    <xf numFmtId="8" fontId="10" fillId="0" borderId="1" xfId="1" applyNumberFormat="1" applyFont="1" applyBorder="1" applyAlignment="1">
      <alignment horizontal="center"/>
    </xf>
    <xf numFmtId="8" fontId="13" fillId="0" borderId="0" xfId="1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workbookViewId="0">
      <selection activeCell="J68" sqref="J68"/>
    </sheetView>
  </sheetViews>
  <sheetFormatPr defaultRowHeight="15.6" x14ac:dyDescent="0.3"/>
  <cols>
    <col min="1" max="1" width="37" style="9" customWidth="1"/>
    <col min="2" max="2" width="13.6640625" style="9" hidden="1" customWidth="1"/>
    <col min="3" max="3" width="0" style="9" hidden="1" customWidth="1"/>
    <col min="4" max="4" width="13.6640625" style="23" bestFit="1" customWidth="1"/>
    <col min="5" max="5" width="2.109375" style="9" customWidth="1"/>
    <col min="6" max="6" width="14.109375" style="23" customWidth="1"/>
    <col min="7" max="7" width="17.109375" style="29" customWidth="1"/>
    <col min="8" max="16384" width="8.88671875" style="9"/>
  </cols>
  <sheetData>
    <row r="1" spans="1:7" x14ac:dyDescent="0.3">
      <c r="A1" s="36"/>
      <c r="B1" s="35"/>
    </row>
    <row r="2" spans="1:7" ht="21" x14ac:dyDescent="0.4">
      <c r="A2" s="37" t="s">
        <v>234</v>
      </c>
      <c r="B2" s="38"/>
      <c r="C2" s="38"/>
      <c r="D2" s="38"/>
      <c r="E2" s="38"/>
      <c r="F2" s="38"/>
      <c r="G2" s="38"/>
    </row>
    <row r="3" spans="1:7" x14ac:dyDescent="0.3">
      <c r="A3" s="36"/>
      <c r="B3" s="35"/>
    </row>
    <row r="5" spans="1:7" s="21" customFormat="1" ht="21" x14ac:dyDescent="0.4">
      <c r="A5" s="20" t="s">
        <v>223</v>
      </c>
      <c r="B5" s="8" t="s">
        <v>0</v>
      </c>
      <c r="D5" s="24" t="s">
        <v>231</v>
      </c>
      <c r="F5" s="24" t="s">
        <v>33</v>
      </c>
      <c r="G5" s="22" t="s">
        <v>0</v>
      </c>
    </row>
    <row r="6" spans="1:7" x14ac:dyDescent="0.3">
      <c r="A6" s="10"/>
      <c r="B6" s="11"/>
    </row>
    <row r="7" spans="1:7" hidden="1" x14ac:dyDescent="0.3">
      <c r="A7" s="10" t="s">
        <v>1</v>
      </c>
      <c r="B7" s="11"/>
    </row>
    <row r="8" spans="1:7" hidden="1" x14ac:dyDescent="0.3">
      <c r="A8" s="10" t="s">
        <v>2</v>
      </c>
      <c r="B8" s="12">
        <f>200</f>
        <v>200</v>
      </c>
    </row>
    <row r="9" spans="1:7" hidden="1" x14ac:dyDescent="0.3">
      <c r="A9" s="10" t="s">
        <v>3</v>
      </c>
      <c r="B9" s="12">
        <f>3000</f>
        <v>3000</v>
      </c>
    </row>
    <row r="10" spans="1:7" hidden="1" x14ac:dyDescent="0.3">
      <c r="A10" s="10" t="s">
        <v>4</v>
      </c>
      <c r="B10" s="12">
        <f>2000</f>
        <v>2000</v>
      </c>
    </row>
    <row r="11" spans="1:7" hidden="1" x14ac:dyDescent="0.3">
      <c r="A11" s="10" t="s">
        <v>5</v>
      </c>
      <c r="B11" s="12">
        <f>3750</f>
        <v>3750</v>
      </c>
    </row>
    <row r="12" spans="1:7" hidden="1" x14ac:dyDescent="0.3">
      <c r="A12" s="10" t="s">
        <v>6</v>
      </c>
      <c r="B12" s="12">
        <f>2500</f>
        <v>2500</v>
      </c>
    </row>
    <row r="13" spans="1:7" hidden="1" x14ac:dyDescent="0.3">
      <c r="A13" s="10" t="s">
        <v>7</v>
      </c>
      <c r="B13" s="12">
        <f>3500</f>
        <v>3500</v>
      </c>
    </row>
    <row r="14" spans="1:7" hidden="1" x14ac:dyDescent="0.3">
      <c r="A14" s="10" t="s">
        <v>8</v>
      </c>
      <c r="B14" s="12">
        <f>400</f>
        <v>400</v>
      </c>
    </row>
    <row r="15" spans="1:7" hidden="1" x14ac:dyDescent="0.3">
      <c r="A15" s="10" t="s">
        <v>9</v>
      </c>
      <c r="B15" s="12">
        <f>750</f>
        <v>750</v>
      </c>
    </row>
    <row r="16" spans="1:7" hidden="1" x14ac:dyDescent="0.3">
      <c r="A16" s="10" t="s">
        <v>10</v>
      </c>
      <c r="B16" s="12">
        <f>1500</f>
        <v>1500</v>
      </c>
    </row>
    <row r="17" spans="1:7" hidden="1" x14ac:dyDescent="0.3">
      <c r="A17" s="10" t="s">
        <v>11</v>
      </c>
      <c r="B17" s="12">
        <f>1000</f>
        <v>1000</v>
      </c>
    </row>
    <row r="18" spans="1:7" hidden="1" x14ac:dyDescent="0.3">
      <c r="A18" s="10" t="s">
        <v>12</v>
      </c>
      <c r="B18" s="12">
        <f>2000</f>
        <v>2000</v>
      </c>
    </row>
    <row r="19" spans="1:7" hidden="1" x14ac:dyDescent="0.3">
      <c r="A19" s="10" t="s">
        <v>13</v>
      </c>
      <c r="B19" s="12">
        <f>8750</f>
        <v>8750</v>
      </c>
    </row>
    <row r="20" spans="1:7" hidden="1" x14ac:dyDescent="0.3">
      <c r="A20" s="10" t="s">
        <v>14</v>
      </c>
      <c r="B20" s="12">
        <f>15000</f>
        <v>15000</v>
      </c>
    </row>
    <row r="21" spans="1:7" hidden="1" x14ac:dyDescent="0.3">
      <c r="A21" s="10" t="s">
        <v>15</v>
      </c>
      <c r="B21" s="12">
        <f>10500</f>
        <v>10500</v>
      </c>
    </row>
    <row r="22" spans="1:7" ht="18" customHeight="1" x14ac:dyDescent="0.3">
      <c r="A22" s="10" t="s">
        <v>227</v>
      </c>
      <c r="B22" s="13">
        <f>((((((((((((((B7)+(B8))+(B9))+(B10))+(B11))+(B12))+(B13))+(B14))+(B15))+(B16))+(B17))+(B18))+(B19))+(B20))+(B21)</f>
        <v>54850</v>
      </c>
      <c r="D22" s="23">
        <v>64750</v>
      </c>
      <c r="F22" s="23">
        <v>0</v>
      </c>
      <c r="G22" s="30">
        <f>D22-F22</f>
        <v>64750</v>
      </c>
    </row>
    <row r="23" spans="1:7" hidden="1" x14ac:dyDescent="0.3">
      <c r="A23" s="10" t="s">
        <v>16</v>
      </c>
      <c r="B23" s="11"/>
      <c r="G23" s="30"/>
    </row>
    <row r="24" spans="1:7" ht="31.2" hidden="1" x14ac:dyDescent="0.3">
      <c r="A24" s="10" t="s">
        <v>17</v>
      </c>
      <c r="B24" s="12">
        <f>3604</f>
        <v>3604</v>
      </c>
      <c r="G24" s="30"/>
    </row>
    <row r="25" spans="1:7" hidden="1" x14ac:dyDescent="0.3">
      <c r="A25" s="10" t="s">
        <v>18</v>
      </c>
      <c r="B25" s="12">
        <f>25145</f>
        <v>25145</v>
      </c>
      <c r="G25" s="30"/>
    </row>
    <row r="26" spans="1:7" hidden="1" x14ac:dyDescent="0.3">
      <c r="A26" s="10" t="s">
        <v>19</v>
      </c>
      <c r="B26" s="12">
        <f>19325</f>
        <v>19325</v>
      </c>
      <c r="G26" s="30"/>
    </row>
    <row r="27" spans="1:7" hidden="1" x14ac:dyDescent="0.3">
      <c r="A27" s="10" t="s">
        <v>20</v>
      </c>
      <c r="B27" s="12">
        <f>30563.19</f>
        <v>30563.19</v>
      </c>
      <c r="G27" s="30"/>
    </row>
    <row r="28" spans="1:7" ht="18" customHeight="1" x14ac:dyDescent="0.3">
      <c r="A28" s="10" t="s">
        <v>228</v>
      </c>
      <c r="B28" s="13">
        <f>((((B23)+(B24))+(B25))+(B26))+(B27)</f>
        <v>78637.19</v>
      </c>
      <c r="D28" s="23">
        <v>38626</v>
      </c>
      <c r="F28" s="23">
        <v>32844</v>
      </c>
      <c r="G28" s="30">
        <f>D28-F28</f>
        <v>5782</v>
      </c>
    </row>
    <row r="29" spans="1:7" hidden="1" x14ac:dyDescent="0.3">
      <c r="A29" s="10" t="s">
        <v>21</v>
      </c>
      <c r="B29" s="12">
        <f>1305</f>
        <v>1305</v>
      </c>
      <c r="D29" s="23" t="s">
        <v>218</v>
      </c>
      <c r="G29" s="30"/>
    </row>
    <row r="30" spans="1:7" ht="18" hidden="1" customHeight="1" x14ac:dyDescent="0.3">
      <c r="A30" s="10" t="s">
        <v>220</v>
      </c>
      <c r="B30" s="14">
        <f>2000</f>
        <v>2000</v>
      </c>
      <c r="G30" s="30"/>
    </row>
    <row r="31" spans="1:7" hidden="1" x14ac:dyDescent="0.3">
      <c r="A31" s="10" t="s">
        <v>22</v>
      </c>
      <c r="B31" s="13" t="e">
        <f>((B29)+(B30))+(#REF!)</f>
        <v>#REF!</v>
      </c>
      <c r="G31" s="30"/>
    </row>
    <row r="32" spans="1:7" hidden="1" x14ac:dyDescent="0.3">
      <c r="A32" s="10" t="s">
        <v>23</v>
      </c>
      <c r="B32" s="11"/>
      <c r="G32" s="30"/>
    </row>
    <row r="33" spans="1:7" hidden="1" x14ac:dyDescent="0.3">
      <c r="A33" s="10" t="s">
        <v>24</v>
      </c>
      <c r="B33" s="11"/>
      <c r="G33" s="30"/>
    </row>
    <row r="34" spans="1:7" hidden="1" x14ac:dyDescent="0.3">
      <c r="A34" s="10" t="s">
        <v>25</v>
      </c>
      <c r="B34" s="12">
        <f>2101</f>
        <v>2101</v>
      </c>
      <c r="G34" s="30"/>
    </row>
    <row r="35" spans="1:7" hidden="1" x14ac:dyDescent="0.3">
      <c r="A35" s="10" t="s">
        <v>26</v>
      </c>
      <c r="B35" s="12">
        <f>8600</f>
        <v>8600</v>
      </c>
      <c r="G35" s="30"/>
    </row>
    <row r="36" spans="1:7" s="26" customFormat="1" x14ac:dyDescent="0.3">
      <c r="A36" s="10" t="s">
        <v>34</v>
      </c>
      <c r="B36" s="12"/>
      <c r="D36" s="23">
        <v>4700</v>
      </c>
      <c r="F36" s="23">
        <v>2000</v>
      </c>
      <c r="G36" s="30">
        <f>D36-F36</f>
        <v>2700</v>
      </c>
    </row>
    <row r="37" spans="1:7" ht="18" customHeight="1" x14ac:dyDescent="0.3">
      <c r="A37" s="10" t="s">
        <v>226</v>
      </c>
      <c r="B37" s="13">
        <f>((B33)+(B34))+(B35)</f>
        <v>10701</v>
      </c>
      <c r="D37" s="23">
        <v>12156</v>
      </c>
      <c r="F37" s="23">
        <v>7201</v>
      </c>
      <c r="G37" s="30">
        <f t="shared" ref="G37:G39" si="0">D37-F37</f>
        <v>4955</v>
      </c>
    </row>
    <row r="38" spans="1:7" ht="18" customHeight="1" x14ac:dyDescent="0.3">
      <c r="A38" s="10" t="s">
        <v>221</v>
      </c>
      <c r="B38" s="12">
        <f>3725</f>
        <v>3725</v>
      </c>
      <c r="D38" s="23">
        <v>1750</v>
      </c>
      <c r="F38" s="23">
        <v>5811</v>
      </c>
      <c r="G38" s="30">
        <f t="shared" si="0"/>
        <v>-4061</v>
      </c>
    </row>
    <row r="39" spans="1:7" ht="18" customHeight="1" x14ac:dyDescent="0.3">
      <c r="A39" s="10" t="s">
        <v>225</v>
      </c>
      <c r="B39" s="12">
        <f>3375</f>
        <v>3375</v>
      </c>
      <c r="D39" s="23">
        <v>5750</v>
      </c>
      <c r="F39" s="23">
        <v>1630</v>
      </c>
      <c r="G39" s="30">
        <f t="shared" si="0"/>
        <v>4120</v>
      </c>
    </row>
    <row r="40" spans="1:7" hidden="1" x14ac:dyDescent="0.3">
      <c r="A40" s="10" t="s">
        <v>27</v>
      </c>
      <c r="B40" s="13">
        <f>(((B32)+(B37))+(B38))+(B39)</f>
        <v>17801</v>
      </c>
      <c r="G40" s="30"/>
    </row>
    <row r="41" spans="1:7" ht="18" hidden="1" customHeight="1" x14ac:dyDescent="0.3">
      <c r="A41" s="10" t="s">
        <v>28</v>
      </c>
      <c r="B41" s="12">
        <f>210</f>
        <v>210</v>
      </c>
      <c r="G41" s="30"/>
    </row>
    <row r="42" spans="1:7" hidden="1" x14ac:dyDescent="0.3">
      <c r="A42" s="10" t="s">
        <v>29</v>
      </c>
      <c r="B42" s="11"/>
      <c r="G42" s="30"/>
    </row>
    <row r="43" spans="1:7" hidden="1" x14ac:dyDescent="0.3">
      <c r="A43" s="10" t="s">
        <v>30</v>
      </c>
      <c r="B43" s="12">
        <f>1500</f>
        <v>1500</v>
      </c>
      <c r="G43" s="30"/>
    </row>
    <row r="44" spans="1:7" ht="18" customHeight="1" x14ac:dyDescent="0.3">
      <c r="A44" s="10" t="s">
        <v>229</v>
      </c>
      <c r="B44" s="13">
        <f>(B42)+(B43)</f>
        <v>1500</v>
      </c>
      <c r="D44" s="23">
        <v>234</v>
      </c>
      <c r="F44" s="23">
        <v>0</v>
      </c>
      <c r="G44" s="30">
        <f>D44-F44</f>
        <v>234</v>
      </c>
    </row>
    <row r="45" spans="1:7" hidden="1" x14ac:dyDescent="0.3">
      <c r="A45" s="10" t="s">
        <v>31</v>
      </c>
      <c r="B45" s="13" t="e">
        <f>(((((B22)+(B28))+(B31))+(B40))+(B41))+(B44)</f>
        <v>#REF!</v>
      </c>
      <c r="G45" s="30"/>
    </row>
    <row r="46" spans="1:7" hidden="1" x14ac:dyDescent="0.3">
      <c r="A46" s="10" t="s">
        <v>32</v>
      </c>
      <c r="B46" s="13" t="e">
        <f>(B45)-(0)</f>
        <v>#REF!</v>
      </c>
      <c r="G46" s="30"/>
    </row>
    <row r="47" spans="1:7" hidden="1" x14ac:dyDescent="0.3">
      <c r="A47" s="10" t="s">
        <v>33</v>
      </c>
      <c r="B47" s="11"/>
      <c r="G47" s="30"/>
    </row>
    <row r="48" spans="1:7" hidden="1" x14ac:dyDescent="0.3">
      <c r="A48" s="10" t="s">
        <v>34</v>
      </c>
      <c r="B48" s="12">
        <f>33145</f>
        <v>33145</v>
      </c>
      <c r="G48" s="30"/>
    </row>
    <row r="49" spans="1:7" hidden="1" x14ac:dyDescent="0.3">
      <c r="A49" s="10" t="s">
        <v>35</v>
      </c>
      <c r="B49" s="11"/>
      <c r="G49" s="30"/>
    </row>
    <row r="50" spans="1:7" hidden="1" x14ac:dyDescent="0.3">
      <c r="A50" s="10" t="s">
        <v>36</v>
      </c>
      <c r="B50" s="11"/>
      <c r="G50" s="30"/>
    </row>
    <row r="51" spans="1:7" hidden="1" x14ac:dyDescent="0.3">
      <c r="A51" s="10" t="s">
        <v>37</v>
      </c>
      <c r="B51" s="12">
        <f>800</f>
        <v>800</v>
      </c>
      <c r="G51" s="30"/>
    </row>
    <row r="52" spans="1:7" hidden="1" x14ac:dyDescent="0.3">
      <c r="A52" s="10" t="s">
        <v>38</v>
      </c>
      <c r="B52" s="13">
        <f>(B50)+(B51)</f>
        <v>800</v>
      </c>
      <c r="G52" s="30"/>
    </row>
    <row r="53" spans="1:7" hidden="1" x14ac:dyDescent="0.3">
      <c r="A53" s="10" t="s">
        <v>39</v>
      </c>
      <c r="B53" s="11"/>
      <c r="G53" s="30"/>
    </row>
    <row r="54" spans="1:7" ht="31.2" hidden="1" x14ac:dyDescent="0.3">
      <c r="A54" s="10" t="s">
        <v>40</v>
      </c>
      <c r="B54" s="12">
        <f>8118</f>
        <v>8118</v>
      </c>
      <c r="G54" s="30"/>
    </row>
    <row r="55" spans="1:7" hidden="1" x14ac:dyDescent="0.3">
      <c r="A55" s="10" t="s">
        <v>41</v>
      </c>
      <c r="B55" s="12">
        <f>8660.71</f>
        <v>8660.7099999999991</v>
      </c>
      <c r="G55" s="30"/>
    </row>
    <row r="56" spans="1:7" hidden="1" x14ac:dyDescent="0.3">
      <c r="A56" s="10" t="s">
        <v>42</v>
      </c>
      <c r="B56" s="12">
        <f>580.31</f>
        <v>580.30999999999995</v>
      </c>
      <c r="G56" s="30"/>
    </row>
    <row r="57" spans="1:7" hidden="1" x14ac:dyDescent="0.3">
      <c r="A57" s="10" t="s">
        <v>43</v>
      </c>
      <c r="B57" s="12">
        <f>11403.04</f>
        <v>11403.04</v>
      </c>
      <c r="G57" s="30"/>
    </row>
    <row r="58" spans="1:7" hidden="1" x14ac:dyDescent="0.3">
      <c r="A58" s="10" t="s">
        <v>44</v>
      </c>
      <c r="B58" s="13">
        <f>((((B53)+(B54))+(B55))+(B56))+(B57)</f>
        <v>28762.06</v>
      </c>
      <c r="D58" s="23" t="s">
        <v>219</v>
      </c>
      <c r="G58" s="30"/>
    </row>
    <row r="59" spans="1:7" hidden="1" x14ac:dyDescent="0.3">
      <c r="A59" s="10" t="s">
        <v>24</v>
      </c>
      <c r="B59" s="12">
        <f>9268.58</f>
        <v>9268.58</v>
      </c>
      <c r="G59" s="30"/>
    </row>
    <row r="60" spans="1:7" hidden="1" x14ac:dyDescent="0.3">
      <c r="A60" s="10" t="s">
        <v>45</v>
      </c>
      <c r="B60" s="12">
        <f>1749.23</f>
        <v>1749.23</v>
      </c>
      <c r="G60" s="30"/>
    </row>
    <row r="61" spans="1:7" hidden="1" x14ac:dyDescent="0.3">
      <c r="A61" s="10" t="s">
        <v>46</v>
      </c>
      <c r="B61" s="13">
        <f>((((B49)+(B52))+(B58))+(B59))+(B60)</f>
        <v>40579.870000000003</v>
      </c>
      <c r="G61" s="30"/>
    </row>
    <row r="62" spans="1:7" hidden="1" x14ac:dyDescent="0.3">
      <c r="A62" s="10" t="s">
        <v>47</v>
      </c>
      <c r="B62" s="11"/>
      <c r="G62" s="30"/>
    </row>
    <row r="63" spans="1:7" hidden="1" x14ac:dyDescent="0.3">
      <c r="A63" s="10" t="s">
        <v>48</v>
      </c>
      <c r="B63" s="12">
        <f>835.81</f>
        <v>835.81</v>
      </c>
      <c r="G63" s="30"/>
    </row>
    <row r="64" spans="1:7" hidden="1" x14ac:dyDescent="0.3">
      <c r="A64" s="10" t="s">
        <v>49</v>
      </c>
      <c r="B64" s="12">
        <f>1580.66</f>
        <v>1580.66</v>
      </c>
      <c r="G64" s="30"/>
    </row>
    <row r="65" spans="1:7" hidden="1" x14ac:dyDescent="0.3">
      <c r="A65" s="10" t="s">
        <v>50</v>
      </c>
      <c r="B65" s="12">
        <f>1168.09</f>
        <v>1168.0899999999999</v>
      </c>
      <c r="G65" s="30"/>
    </row>
    <row r="66" spans="1:7" ht="18" customHeight="1" x14ac:dyDescent="0.3">
      <c r="A66" s="10" t="s">
        <v>47</v>
      </c>
      <c r="B66" s="13">
        <f>(((B62)+(B63))+(B64))+(B65)</f>
        <v>3584.5600000000004</v>
      </c>
      <c r="D66" s="23">
        <v>0</v>
      </c>
      <c r="F66" s="23">
        <v>9629</v>
      </c>
      <c r="G66" s="30">
        <f t="shared" ref="G66:G70" si="1">D66-F66</f>
        <v>-9629</v>
      </c>
    </row>
    <row r="67" spans="1:7" s="33" customFormat="1" ht="18" customHeight="1" x14ac:dyDescent="0.3">
      <c r="A67" s="10" t="s">
        <v>232</v>
      </c>
      <c r="B67" s="18"/>
      <c r="D67" s="23">
        <v>0</v>
      </c>
      <c r="F67" s="23">
        <v>3028</v>
      </c>
      <c r="G67" s="30">
        <f t="shared" si="1"/>
        <v>-3028</v>
      </c>
    </row>
    <row r="68" spans="1:7" ht="18" customHeight="1" x14ac:dyDescent="0.3">
      <c r="A68" s="10" t="s">
        <v>233</v>
      </c>
      <c r="B68" s="12">
        <f>1370.39</f>
        <v>1370.39</v>
      </c>
      <c r="D68" s="23">
        <v>0</v>
      </c>
      <c r="F68" s="23">
        <v>4552</v>
      </c>
      <c r="G68" s="30">
        <f t="shared" si="1"/>
        <v>-4552</v>
      </c>
    </row>
    <row r="69" spans="1:7" ht="18" customHeight="1" x14ac:dyDescent="0.3">
      <c r="A69" s="10" t="s">
        <v>222</v>
      </c>
      <c r="B69" s="12">
        <f>3440.28</f>
        <v>3440.28</v>
      </c>
      <c r="D69" s="23">
        <v>0</v>
      </c>
      <c r="F69" s="23">
        <v>2610</v>
      </c>
      <c r="G69" s="30">
        <f t="shared" si="1"/>
        <v>-2610</v>
      </c>
    </row>
    <row r="70" spans="1:7" ht="18" customHeight="1" x14ac:dyDescent="0.3">
      <c r="A70" s="15" t="s">
        <v>230</v>
      </c>
      <c r="B70" s="16">
        <f>80588.97</f>
        <v>80588.97</v>
      </c>
      <c r="C70" s="17"/>
      <c r="D70" s="25">
        <v>0</v>
      </c>
      <c r="E70" s="17"/>
      <c r="F70" s="25">
        <v>60300</v>
      </c>
      <c r="G70" s="31">
        <f t="shared" si="1"/>
        <v>-60300</v>
      </c>
    </row>
    <row r="71" spans="1:7" hidden="1" x14ac:dyDescent="0.3">
      <c r="A71" s="10" t="s">
        <v>51</v>
      </c>
      <c r="B71" s="18">
        <f>((B68)+(B69))+(B70)</f>
        <v>85399.64</v>
      </c>
      <c r="G71" s="30"/>
    </row>
    <row r="72" spans="1:7" hidden="1" x14ac:dyDescent="0.3">
      <c r="A72" s="10" t="s">
        <v>52</v>
      </c>
      <c r="B72" s="12">
        <f>500</f>
        <v>500</v>
      </c>
      <c r="G72" s="30"/>
    </row>
    <row r="73" spans="1:7" ht="24.6" customHeight="1" x14ac:dyDescent="0.3">
      <c r="A73" s="10" t="s">
        <v>224</v>
      </c>
      <c r="B73" s="13">
        <f>((((B48)+(B61))+(B66))+(B71))+(B72)</f>
        <v>163209.07</v>
      </c>
      <c r="D73" s="27">
        <f>SUM(D22:D71)</f>
        <v>127966</v>
      </c>
      <c r="E73" s="28"/>
      <c r="F73" s="27">
        <f>SUM(F22:F72)</f>
        <v>129605</v>
      </c>
      <c r="G73" s="32">
        <f>D73-F73</f>
        <v>-1639</v>
      </c>
    </row>
    <row r="74" spans="1:7" hidden="1" x14ac:dyDescent="0.3">
      <c r="A74" s="10" t="s">
        <v>53</v>
      </c>
      <c r="B74" s="13" t="e">
        <f>(B46)-(B73)</f>
        <v>#REF!</v>
      </c>
    </row>
    <row r="75" spans="1:7" hidden="1" x14ac:dyDescent="0.3">
      <c r="A75" s="10" t="s">
        <v>54</v>
      </c>
      <c r="B75" s="19" t="e">
        <f>(B74)+(0)</f>
        <v>#REF!</v>
      </c>
    </row>
    <row r="76" spans="1:7" hidden="1" x14ac:dyDescent="0.3">
      <c r="A76" s="10"/>
      <c r="B76" s="11"/>
    </row>
    <row r="77" spans="1:7" hidden="1" x14ac:dyDescent="0.3"/>
    <row r="78" spans="1:7" hidden="1" x14ac:dyDescent="0.3"/>
    <row r="79" spans="1:7" hidden="1" x14ac:dyDescent="0.3">
      <c r="A79" s="34" t="s">
        <v>55</v>
      </c>
      <c r="B79" s="35"/>
    </row>
  </sheetData>
  <mergeCells count="4">
    <mergeCell ref="A79:B79"/>
    <mergeCell ref="A1:B1"/>
    <mergeCell ref="A3:B3"/>
    <mergeCell ref="A2:G2"/>
  </mergeCells>
  <printOptions horizontalCentered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73" workbookViewId="0">
      <selection activeCell="N84" sqref="N84"/>
    </sheetView>
  </sheetViews>
  <sheetFormatPr defaultRowHeight="14.4" x14ac:dyDescent="0.3"/>
  <cols>
    <col min="1" max="1" width="37" customWidth="1"/>
    <col min="2" max="2" width="9.44140625" customWidth="1"/>
    <col min="3" max="3" width="7.6640625" customWidth="1"/>
    <col min="4" max="4" width="19.6640625" customWidth="1"/>
    <col min="5" max="5" width="37.88671875" customWidth="1"/>
    <col min="6" max="6" width="40.44140625" customWidth="1"/>
    <col min="7" max="7" width="9.44140625" customWidth="1"/>
  </cols>
  <sheetData>
    <row r="1" spans="1:7" ht="17.399999999999999" x14ac:dyDescent="0.3">
      <c r="A1" s="39" t="s">
        <v>56</v>
      </c>
      <c r="B1" s="40"/>
      <c r="C1" s="40"/>
      <c r="D1" s="40"/>
      <c r="E1" s="40"/>
      <c r="F1" s="40"/>
      <c r="G1" s="40"/>
    </row>
    <row r="2" spans="1:7" ht="17.399999999999999" x14ac:dyDescent="0.3">
      <c r="A2" s="39" t="s">
        <v>58</v>
      </c>
      <c r="B2" s="40"/>
      <c r="C2" s="40"/>
      <c r="D2" s="40"/>
      <c r="E2" s="40"/>
      <c r="F2" s="40"/>
      <c r="G2" s="40"/>
    </row>
    <row r="3" spans="1:7" x14ac:dyDescent="0.3">
      <c r="A3" s="41" t="s">
        <v>57</v>
      </c>
      <c r="B3" s="40"/>
      <c r="C3" s="40"/>
      <c r="D3" s="40"/>
      <c r="E3" s="40"/>
      <c r="F3" s="40"/>
      <c r="G3" s="40"/>
    </row>
    <row r="5" spans="1:7" ht="24.6" x14ac:dyDescent="0.3">
      <c r="B5" s="2" t="s">
        <v>59</v>
      </c>
      <c r="C5" s="2" t="s">
        <v>60</v>
      </c>
      <c r="D5" s="2" t="s">
        <v>61</v>
      </c>
      <c r="E5" s="2" t="s">
        <v>62</v>
      </c>
      <c r="F5" s="2" t="s">
        <v>63</v>
      </c>
      <c r="G5" s="2" t="s">
        <v>64</v>
      </c>
    </row>
    <row r="6" spans="1:7" x14ac:dyDescent="0.3">
      <c r="A6" s="3" t="s">
        <v>65</v>
      </c>
    </row>
    <row r="7" spans="1:7" x14ac:dyDescent="0.3">
      <c r="A7" s="3" t="s">
        <v>66</v>
      </c>
    </row>
    <row r="8" spans="1:7" x14ac:dyDescent="0.3">
      <c r="B8" s="7" t="s">
        <v>67</v>
      </c>
      <c r="C8" s="7" t="s">
        <v>68</v>
      </c>
      <c r="D8" s="7"/>
      <c r="E8" s="7" t="s">
        <v>69</v>
      </c>
      <c r="F8" s="7" t="s">
        <v>70</v>
      </c>
      <c r="G8" s="5">
        <v>200</v>
      </c>
    </row>
    <row r="9" spans="1:7" x14ac:dyDescent="0.3">
      <c r="A9" s="3" t="s">
        <v>71</v>
      </c>
      <c r="G9" s="6">
        <v>200</v>
      </c>
    </row>
    <row r="10" spans="1:7" x14ac:dyDescent="0.3">
      <c r="A10" s="3" t="s">
        <v>72</v>
      </c>
    </row>
    <row r="11" spans="1:7" x14ac:dyDescent="0.3">
      <c r="B11" s="7" t="s">
        <v>73</v>
      </c>
      <c r="C11" s="7" t="s">
        <v>68</v>
      </c>
      <c r="D11" s="7"/>
      <c r="E11" s="7" t="s">
        <v>74</v>
      </c>
      <c r="F11" s="7" t="s">
        <v>75</v>
      </c>
      <c r="G11" s="5">
        <v>200</v>
      </c>
    </row>
    <row r="12" spans="1:7" x14ac:dyDescent="0.3">
      <c r="B12" s="7" t="s">
        <v>73</v>
      </c>
      <c r="C12" s="7" t="s">
        <v>68</v>
      </c>
      <c r="D12" s="7"/>
      <c r="E12" s="7" t="s">
        <v>76</v>
      </c>
      <c r="F12" s="7" t="s">
        <v>75</v>
      </c>
      <c r="G12" s="5">
        <v>200</v>
      </c>
    </row>
    <row r="13" spans="1:7" x14ac:dyDescent="0.3">
      <c r="B13" s="7" t="s">
        <v>77</v>
      </c>
      <c r="C13" s="7" t="s">
        <v>68</v>
      </c>
      <c r="D13" s="7"/>
      <c r="E13" s="7" t="s">
        <v>78</v>
      </c>
      <c r="F13" s="7" t="s">
        <v>75</v>
      </c>
      <c r="G13" s="5">
        <v>200</v>
      </c>
    </row>
    <row r="14" spans="1:7" x14ac:dyDescent="0.3">
      <c r="B14" s="7" t="s">
        <v>77</v>
      </c>
      <c r="C14" s="7" t="s">
        <v>68</v>
      </c>
      <c r="D14" s="7"/>
      <c r="E14" s="7" t="s">
        <v>79</v>
      </c>
      <c r="F14" s="7" t="s">
        <v>75</v>
      </c>
      <c r="G14" s="5">
        <v>200</v>
      </c>
    </row>
    <row r="15" spans="1:7" x14ac:dyDescent="0.3">
      <c r="B15" s="7" t="s">
        <v>77</v>
      </c>
      <c r="C15" s="7" t="s">
        <v>68</v>
      </c>
      <c r="D15" s="7"/>
      <c r="E15" s="7" t="s">
        <v>80</v>
      </c>
      <c r="F15" s="7" t="s">
        <v>75</v>
      </c>
      <c r="G15" s="5">
        <v>200</v>
      </c>
    </row>
    <row r="16" spans="1:7" x14ac:dyDescent="0.3">
      <c r="B16" s="7" t="s">
        <v>81</v>
      </c>
      <c r="C16" s="7" t="s">
        <v>68</v>
      </c>
      <c r="D16" s="7"/>
      <c r="E16" s="7" t="s">
        <v>82</v>
      </c>
      <c r="F16" s="7" t="s">
        <v>75</v>
      </c>
      <c r="G16" s="5">
        <v>200</v>
      </c>
    </row>
    <row r="17" spans="1:7" x14ac:dyDescent="0.3">
      <c r="B17" s="7" t="s">
        <v>83</v>
      </c>
      <c r="C17" s="7" t="s">
        <v>68</v>
      </c>
      <c r="D17" s="7"/>
      <c r="E17" s="7" t="s">
        <v>84</v>
      </c>
      <c r="F17" s="7" t="s">
        <v>75</v>
      </c>
      <c r="G17" s="5">
        <v>200</v>
      </c>
    </row>
    <row r="18" spans="1:7" x14ac:dyDescent="0.3">
      <c r="B18" s="7" t="s">
        <v>85</v>
      </c>
      <c r="C18" s="7" t="s">
        <v>68</v>
      </c>
      <c r="D18" s="7"/>
      <c r="E18" s="7" t="s">
        <v>86</v>
      </c>
      <c r="F18" s="7" t="s">
        <v>75</v>
      </c>
      <c r="G18" s="5">
        <v>200</v>
      </c>
    </row>
    <row r="19" spans="1:7" x14ac:dyDescent="0.3">
      <c r="B19" s="7" t="s">
        <v>87</v>
      </c>
      <c r="C19" s="7" t="s">
        <v>68</v>
      </c>
      <c r="D19" s="7"/>
      <c r="E19" s="7" t="s">
        <v>88</v>
      </c>
      <c r="F19" s="7" t="s">
        <v>75</v>
      </c>
      <c r="G19" s="5">
        <v>200</v>
      </c>
    </row>
    <row r="20" spans="1:7" x14ac:dyDescent="0.3">
      <c r="B20" s="7" t="s">
        <v>87</v>
      </c>
      <c r="C20" s="7" t="s">
        <v>68</v>
      </c>
      <c r="D20" s="7"/>
      <c r="E20" s="7" t="s">
        <v>89</v>
      </c>
      <c r="F20" s="7" t="s">
        <v>75</v>
      </c>
      <c r="G20" s="5">
        <v>200</v>
      </c>
    </row>
    <row r="21" spans="1:7" x14ac:dyDescent="0.3">
      <c r="B21" s="7" t="s">
        <v>90</v>
      </c>
      <c r="C21" s="7" t="s">
        <v>68</v>
      </c>
      <c r="D21" s="7"/>
      <c r="E21" s="7" t="s">
        <v>91</v>
      </c>
      <c r="F21" s="7" t="s">
        <v>75</v>
      </c>
      <c r="G21" s="5">
        <v>200</v>
      </c>
    </row>
    <row r="22" spans="1:7" x14ac:dyDescent="0.3">
      <c r="B22" s="7" t="s">
        <v>90</v>
      </c>
      <c r="C22" s="7" t="s">
        <v>68</v>
      </c>
      <c r="D22" s="7"/>
      <c r="E22" s="7" t="s">
        <v>92</v>
      </c>
      <c r="F22" s="7" t="s">
        <v>75</v>
      </c>
      <c r="G22" s="5">
        <v>200</v>
      </c>
    </row>
    <row r="23" spans="1:7" x14ac:dyDescent="0.3">
      <c r="B23" s="7" t="s">
        <v>93</v>
      </c>
      <c r="C23" s="7" t="s">
        <v>68</v>
      </c>
      <c r="D23" s="7"/>
      <c r="E23" s="7" t="s">
        <v>94</v>
      </c>
      <c r="F23" s="7" t="s">
        <v>75</v>
      </c>
      <c r="G23" s="5">
        <v>200</v>
      </c>
    </row>
    <row r="24" spans="1:7" x14ac:dyDescent="0.3">
      <c r="B24" s="7" t="s">
        <v>95</v>
      </c>
      <c r="C24" s="7" t="s">
        <v>68</v>
      </c>
      <c r="D24" s="7"/>
      <c r="E24" s="7" t="s">
        <v>96</v>
      </c>
      <c r="F24" s="7" t="s">
        <v>75</v>
      </c>
      <c r="G24" s="5">
        <v>200</v>
      </c>
    </row>
    <row r="25" spans="1:7" x14ac:dyDescent="0.3">
      <c r="B25" s="7" t="s">
        <v>97</v>
      </c>
      <c r="C25" s="7" t="s">
        <v>68</v>
      </c>
      <c r="D25" s="7"/>
      <c r="E25" s="7" t="s">
        <v>98</v>
      </c>
      <c r="F25" s="7" t="s">
        <v>75</v>
      </c>
      <c r="G25" s="5">
        <v>200</v>
      </c>
    </row>
    <row r="26" spans="1:7" x14ac:dyDescent="0.3">
      <c r="A26" s="3" t="s">
        <v>99</v>
      </c>
      <c r="G26" s="6">
        <v>3000</v>
      </c>
    </row>
    <row r="27" spans="1:7" x14ac:dyDescent="0.3">
      <c r="A27" s="3" t="s">
        <v>100</v>
      </c>
    </row>
    <row r="28" spans="1:7" x14ac:dyDescent="0.3">
      <c r="B28" s="7" t="s">
        <v>101</v>
      </c>
      <c r="C28" s="7" t="s">
        <v>68</v>
      </c>
      <c r="D28" s="7" t="s">
        <v>102</v>
      </c>
      <c r="E28" s="7" t="s">
        <v>103</v>
      </c>
      <c r="F28" s="7" t="s">
        <v>104</v>
      </c>
      <c r="G28" s="5">
        <v>500</v>
      </c>
    </row>
    <row r="29" spans="1:7" x14ac:dyDescent="0.3">
      <c r="B29" s="7" t="s">
        <v>87</v>
      </c>
      <c r="C29" s="7" t="s">
        <v>68</v>
      </c>
      <c r="D29" s="7"/>
      <c r="E29" s="7" t="s">
        <v>105</v>
      </c>
      <c r="F29" s="7" t="s">
        <v>104</v>
      </c>
      <c r="G29" s="5">
        <v>500</v>
      </c>
    </row>
    <row r="30" spans="1:7" x14ac:dyDescent="0.3">
      <c r="B30" s="7" t="s">
        <v>106</v>
      </c>
      <c r="C30" s="7" t="s">
        <v>68</v>
      </c>
      <c r="D30" s="7"/>
      <c r="E30" s="7" t="s">
        <v>107</v>
      </c>
      <c r="F30" s="7" t="s">
        <v>104</v>
      </c>
      <c r="G30" s="5">
        <v>500</v>
      </c>
    </row>
    <row r="31" spans="1:7" x14ac:dyDescent="0.3">
      <c r="B31" s="7" t="s">
        <v>108</v>
      </c>
      <c r="C31" s="7" t="s">
        <v>68</v>
      </c>
      <c r="D31" s="7"/>
      <c r="E31" s="7" t="s">
        <v>109</v>
      </c>
      <c r="F31" s="7" t="s">
        <v>104</v>
      </c>
      <c r="G31" s="5">
        <v>500</v>
      </c>
    </row>
    <row r="32" spans="1:7" x14ac:dyDescent="0.3">
      <c r="A32" s="3" t="s">
        <v>110</v>
      </c>
      <c r="G32" s="6">
        <v>2000</v>
      </c>
    </row>
    <row r="33" spans="1:7" x14ac:dyDescent="0.3">
      <c r="A33" s="3" t="s">
        <v>111</v>
      </c>
    </row>
    <row r="34" spans="1:7" x14ac:dyDescent="0.3">
      <c r="B34" s="7" t="s">
        <v>90</v>
      </c>
      <c r="C34" s="7" t="s">
        <v>68</v>
      </c>
      <c r="D34" s="7"/>
      <c r="E34" s="7" t="s">
        <v>112</v>
      </c>
      <c r="F34" s="7" t="s">
        <v>113</v>
      </c>
      <c r="G34" s="5">
        <v>1250</v>
      </c>
    </row>
    <row r="35" spans="1:7" x14ac:dyDescent="0.3">
      <c r="B35" s="7" t="s">
        <v>93</v>
      </c>
      <c r="C35" s="7" t="s">
        <v>68</v>
      </c>
      <c r="D35" s="7"/>
      <c r="E35" s="7" t="s">
        <v>114</v>
      </c>
      <c r="F35" s="7" t="s">
        <v>113</v>
      </c>
      <c r="G35" s="5">
        <v>1250</v>
      </c>
    </row>
    <row r="36" spans="1:7" x14ac:dyDescent="0.3">
      <c r="B36" s="7" t="s">
        <v>115</v>
      </c>
      <c r="C36" s="7" t="s">
        <v>68</v>
      </c>
      <c r="D36" s="7"/>
      <c r="E36" s="7" t="s">
        <v>116</v>
      </c>
      <c r="F36" s="7" t="s">
        <v>113</v>
      </c>
      <c r="G36" s="5">
        <v>1250</v>
      </c>
    </row>
    <row r="37" spans="1:7" x14ac:dyDescent="0.3">
      <c r="A37" s="3" t="s">
        <v>117</v>
      </c>
      <c r="G37" s="6">
        <v>3750</v>
      </c>
    </row>
    <row r="38" spans="1:7" x14ac:dyDescent="0.3">
      <c r="A38" s="3" t="s">
        <v>118</v>
      </c>
    </row>
    <row r="39" spans="1:7" x14ac:dyDescent="0.3">
      <c r="B39" s="7" t="s">
        <v>93</v>
      </c>
      <c r="C39" s="7" t="s">
        <v>68</v>
      </c>
      <c r="D39" s="7" t="s">
        <v>119</v>
      </c>
      <c r="E39" s="7" t="s">
        <v>120</v>
      </c>
      <c r="F39" s="7" t="s">
        <v>121</v>
      </c>
      <c r="G39" s="5">
        <v>2500</v>
      </c>
    </row>
    <row r="40" spans="1:7" x14ac:dyDescent="0.3">
      <c r="A40" s="3" t="s">
        <v>122</v>
      </c>
      <c r="G40" s="6">
        <v>2500</v>
      </c>
    </row>
    <row r="41" spans="1:7" x14ac:dyDescent="0.3">
      <c r="A41" s="3" t="s">
        <v>123</v>
      </c>
    </row>
    <row r="42" spans="1:7" x14ac:dyDescent="0.3">
      <c r="B42" s="7" t="s">
        <v>83</v>
      </c>
      <c r="C42" s="7" t="s">
        <v>68</v>
      </c>
      <c r="D42" s="7"/>
      <c r="E42" s="7" t="s">
        <v>124</v>
      </c>
      <c r="F42" s="7" t="s">
        <v>125</v>
      </c>
      <c r="G42" s="5">
        <v>3500</v>
      </c>
    </row>
    <row r="43" spans="1:7" x14ac:dyDescent="0.3">
      <c r="A43" s="3" t="s">
        <v>126</v>
      </c>
      <c r="G43" s="6">
        <v>3500</v>
      </c>
    </row>
    <row r="44" spans="1:7" x14ac:dyDescent="0.3">
      <c r="A44" s="3" t="s">
        <v>127</v>
      </c>
    </row>
    <row r="45" spans="1:7" x14ac:dyDescent="0.3">
      <c r="B45" s="7" t="s">
        <v>128</v>
      </c>
      <c r="C45" s="7" t="s">
        <v>68</v>
      </c>
      <c r="D45" s="7"/>
      <c r="E45" s="7" t="s">
        <v>129</v>
      </c>
      <c r="F45" s="7" t="s">
        <v>130</v>
      </c>
      <c r="G45" s="5">
        <v>200</v>
      </c>
    </row>
    <row r="46" spans="1:7" x14ac:dyDescent="0.3">
      <c r="B46" s="7" t="s">
        <v>131</v>
      </c>
      <c r="C46" s="7" t="s">
        <v>68</v>
      </c>
      <c r="D46" s="7"/>
      <c r="E46" s="7" t="s">
        <v>132</v>
      </c>
      <c r="F46" s="7" t="s">
        <v>130</v>
      </c>
      <c r="G46" s="5">
        <v>200</v>
      </c>
    </row>
    <row r="47" spans="1:7" x14ac:dyDescent="0.3">
      <c r="A47" s="3" t="s">
        <v>133</v>
      </c>
      <c r="G47" s="6">
        <v>400</v>
      </c>
    </row>
    <row r="48" spans="1:7" x14ac:dyDescent="0.3">
      <c r="A48" s="3" t="s">
        <v>134</v>
      </c>
    </row>
    <row r="49" spans="1:7" x14ac:dyDescent="0.3">
      <c r="B49" s="7" t="s">
        <v>135</v>
      </c>
      <c r="C49" s="7" t="s">
        <v>68</v>
      </c>
      <c r="D49" s="7"/>
      <c r="E49" s="7" t="s">
        <v>136</v>
      </c>
      <c r="F49" s="7" t="s">
        <v>137</v>
      </c>
      <c r="G49" s="5">
        <v>250</v>
      </c>
    </row>
    <row r="50" spans="1:7" x14ac:dyDescent="0.3">
      <c r="B50" s="7" t="s">
        <v>138</v>
      </c>
      <c r="C50" s="7" t="s">
        <v>68</v>
      </c>
      <c r="D50" s="7"/>
      <c r="E50" s="7" t="s">
        <v>139</v>
      </c>
      <c r="F50" s="7" t="s">
        <v>137</v>
      </c>
      <c r="G50" s="5">
        <v>250</v>
      </c>
    </row>
    <row r="51" spans="1:7" x14ac:dyDescent="0.3">
      <c r="B51" s="7" t="s">
        <v>90</v>
      </c>
      <c r="C51" s="7" t="s">
        <v>68</v>
      </c>
      <c r="D51" s="7"/>
      <c r="E51" s="7" t="s">
        <v>140</v>
      </c>
      <c r="F51" s="7" t="s">
        <v>137</v>
      </c>
      <c r="G51" s="5">
        <v>250</v>
      </c>
    </row>
    <row r="52" spans="1:7" x14ac:dyDescent="0.3">
      <c r="A52" s="3" t="s">
        <v>141</v>
      </c>
      <c r="G52" s="6">
        <v>750</v>
      </c>
    </row>
    <row r="53" spans="1:7" x14ac:dyDescent="0.3">
      <c r="A53" s="3" t="s">
        <v>142</v>
      </c>
    </row>
    <row r="54" spans="1:7" x14ac:dyDescent="0.3">
      <c r="B54" s="7" t="s">
        <v>101</v>
      </c>
      <c r="C54" s="7" t="s">
        <v>68</v>
      </c>
      <c r="D54" s="7"/>
      <c r="E54" s="7" t="s">
        <v>143</v>
      </c>
      <c r="F54" s="7" t="s">
        <v>144</v>
      </c>
      <c r="G54" s="5">
        <v>500</v>
      </c>
    </row>
    <row r="55" spans="1:7" x14ac:dyDescent="0.3">
      <c r="B55" s="7" t="s">
        <v>77</v>
      </c>
      <c r="C55" s="7" t="s">
        <v>68</v>
      </c>
      <c r="D55" s="7"/>
      <c r="E55" s="7" t="s">
        <v>145</v>
      </c>
      <c r="F55" s="7" t="s">
        <v>144</v>
      </c>
      <c r="G55" s="5">
        <v>500</v>
      </c>
    </row>
    <row r="56" spans="1:7" x14ac:dyDescent="0.3">
      <c r="B56" s="7" t="s">
        <v>138</v>
      </c>
      <c r="C56" s="7" t="s">
        <v>68</v>
      </c>
      <c r="D56" s="7"/>
      <c r="E56" s="7" t="s">
        <v>146</v>
      </c>
      <c r="F56" s="7" t="s">
        <v>144</v>
      </c>
      <c r="G56" s="5">
        <v>500</v>
      </c>
    </row>
    <row r="57" spans="1:7" x14ac:dyDescent="0.3">
      <c r="A57" s="3" t="s">
        <v>147</v>
      </c>
      <c r="G57" s="6">
        <v>1500</v>
      </c>
    </row>
    <row r="58" spans="1:7" x14ac:dyDescent="0.3">
      <c r="A58" s="3" t="s">
        <v>148</v>
      </c>
    </row>
    <row r="59" spans="1:7" x14ac:dyDescent="0.3">
      <c r="B59" s="7" t="s">
        <v>108</v>
      </c>
      <c r="C59" s="7" t="s">
        <v>68</v>
      </c>
      <c r="D59" s="7"/>
      <c r="E59" s="7" t="s">
        <v>149</v>
      </c>
      <c r="F59" s="7" t="s">
        <v>150</v>
      </c>
      <c r="G59" s="5">
        <v>1000</v>
      </c>
    </row>
    <row r="60" spans="1:7" x14ac:dyDescent="0.3">
      <c r="A60" s="3" t="s">
        <v>151</v>
      </c>
      <c r="G60" s="6">
        <v>1000</v>
      </c>
    </row>
    <row r="61" spans="1:7" x14ac:dyDescent="0.3">
      <c r="A61" s="3" t="s">
        <v>152</v>
      </c>
    </row>
    <row r="62" spans="1:7" x14ac:dyDescent="0.3">
      <c r="B62" s="7" t="s">
        <v>153</v>
      </c>
      <c r="C62" s="7" t="s">
        <v>68</v>
      </c>
      <c r="D62" s="7" t="s">
        <v>154</v>
      </c>
      <c r="E62" s="7" t="s">
        <v>155</v>
      </c>
      <c r="F62" s="7" t="s">
        <v>156</v>
      </c>
      <c r="G62" s="5">
        <v>500</v>
      </c>
    </row>
    <row r="63" spans="1:7" x14ac:dyDescent="0.3">
      <c r="B63" s="7" t="s">
        <v>93</v>
      </c>
      <c r="C63" s="7" t="s">
        <v>68</v>
      </c>
      <c r="D63" s="7"/>
      <c r="E63" s="7" t="s">
        <v>157</v>
      </c>
      <c r="F63" s="7" t="s">
        <v>156</v>
      </c>
      <c r="G63" s="5">
        <v>500</v>
      </c>
    </row>
    <row r="64" spans="1:7" x14ac:dyDescent="0.3">
      <c r="B64" s="7" t="s">
        <v>95</v>
      </c>
      <c r="C64" s="7" t="s">
        <v>68</v>
      </c>
      <c r="D64" s="7"/>
      <c r="E64" s="7" t="s">
        <v>158</v>
      </c>
      <c r="F64" s="7" t="s">
        <v>156</v>
      </c>
      <c r="G64" s="5">
        <v>500</v>
      </c>
    </row>
    <row r="65" spans="1:7" x14ac:dyDescent="0.3">
      <c r="B65" s="7" t="s">
        <v>95</v>
      </c>
      <c r="C65" s="7" t="s">
        <v>68</v>
      </c>
      <c r="D65" s="7"/>
      <c r="E65" s="7" t="s">
        <v>159</v>
      </c>
      <c r="F65" s="7" t="s">
        <v>156</v>
      </c>
      <c r="G65" s="5">
        <v>500</v>
      </c>
    </row>
    <row r="66" spans="1:7" x14ac:dyDescent="0.3">
      <c r="A66" s="3" t="s">
        <v>160</v>
      </c>
      <c r="G66" s="6">
        <v>2000</v>
      </c>
    </row>
    <row r="67" spans="1:7" x14ac:dyDescent="0.3">
      <c r="A67" s="3" t="s">
        <v>161</v>
      </c>
    </row>
    <row r="68" spans="1:7" x14ac:dyDescent="0.3">
      <c r="B68" s="7" t="s">
        <v>73</v>
      </c>
      <c r="C68" s="7" t="s">
        <v>68</v>
      </c>
      <c r="D68" s="7"/>
      <c r="E68" s="7" t="s">
        <v>162</v>
      </c>
      <c r="F68" s="7" t="s">
        <v>163</v>
      </c>
      <c r="G68" s="5">
        <v>1250</v>
      </c>
    </row>
    <row r="69" spans="1:7" x14ac:dyDescent="0.3">
      <c r="B69" s="7" t="s">
        <v>81</v>
      </c>
      <c r="C69" s="7" t="s">
        <v>68</v>
      </c>
      <c r="D69" s="7"/>
      <c r="E69" s="7" t="s">
        <v>164</v>
      </c>
      <c r="F69" s="7" t="s">
        <v>163</v>
      </c>
      <c r="G69" s="5">
        <v>1250</v>
      </c>
    </row>
    <row r="70" spans="1:7" x14ac:dyDescent="0.3">
      <c r="B70" s="7" t="s">
        <v>87</v>
      </c>
      <c r="C70" s="7" t="s">
        <v>68</v>
      </c>
      <c r="D70" s="7"/>
      <c r="E70" s="7" t="s">
        <v>165</v>
      </c>
      <c r="F70" s="7" t="s">
        <v>163</v>
      </c>
      <c r="G70" s="5">
        <v>1250</v>
      </c>
    </row>
    <row r="71" spans="1:7" x14ac:dyDescent="0.3">
      <c r="B71" s="7" t="s">
        <v>90</v>
      </c>
      <c r="C71" s="7" t="s">
        <v>68</v>
      </c>
      <c r="D71" s="7"/>
      <c r="E71" s="7" t="s">
        <v>166</v>
      </c>
      <c r="F71" s="7" t="s">
        <v>163</v>
      </c>
      <c r="G71" s="5">
        <v>1250</v>
      </c>
    </row>
    <row r="72" spans="1:7" x14ac:dyDescent="0.3">
      <c r="B72" s="7" t="s">
        <v>108</v>
      </c>
      <c r="C72" s="7" t="s">
        <v>68</v>
      </c>
      <c r="D72" s="7"/>
      <c r="E72" s="7" t="s">
        <v>167</v>
      </c>
      <c r="F72" s="7" t="s">
        <v>163</v>
      </c>
      <c r="G72" s="5">
        <v>1250</v>
      </c>
    </row>
    <row r="73" spans="1:7" x14ac:dyDescent="0.3">
      <c r="B73" s="7" t="s">
        <v>108</v>
      </c>
      <c r="C73" s="7" t="s">
        <v>68</v>
      </c>
      <c r="D73" s="7"/>
      <c r="E73" s="7" t="s">
        <v>168</v>
      </c>
      <c r="F73" s="7" t="s">
        <v>163</v>
      </c>
      <c r="G73" s="5">
        <v>1250</v>
      </c>
    </row>
    <row r="74" spans="1:7" x14ac:dyDescent="0.3">
      <c r="B74" s="7" t="s">
        <v>169</v>
      </c>
      <c r="C74" s="7" t="s">
        <v>68</v>
      </c>
      <c r="D74" s="7"/>
      <c r="E74" s="7" t="s">
        <v>170</v>
      </c>
      <c r="F74" s="7" t="s">
        <v>163</v>
      </c>
      <c r="G74" s="5">
        <v>1250</v>
      </c>
    </row>
    <row r="75" spans="1:7" x14ac:dyDescent="0.3">
      <c r="A75" s="3" t="s">
        <v>171</v>
      </c>
      <c r="G75" s="6">
        <v>8750</v>
      </c>
    </row>
    <row r="76" spans="1:7" x14ac:dyDescent="0.3">
      <c r="A76" s="3" t="s">
        <v>172</v>
      </c>
    </row>
    <row r="77" spans="1:7" x14ac:dyDescent="0.3">
      <c r="B77" s="7" t="s">
        <v>87</v>
      </c>
      <c r="C77" s="7" t="s">
        <v>68</v>
      </c>
      <c r="D77" s="7"/>
      <c r="E77" s="7" t="s">
        <v>173</v>
      </c>
      <c r="F77" s="7" t="s">
        <v>174</v>
      </c>
      <c r="G77" s="5">
        <v>2500</v>
      </c>
    </row>
    <row r="78" spans="1:7" x14ac:dyDescent="0.3">
      <c r="B78" s="7" t="s">
        <v>87</v>
      </c>
      <c r="C78" s="7" t="s">
        <v>68</v>
      </c>
      <c r="D78" s="7"/>
      <c r="E78" s="7" t="s">
        <v>175</v>
      </c>
      <c r="F78" s="7" t="s">
        <v>174</v>
      </c>
      <c r="G78" s="5">
        <v>2500</v>
      </c>
    </row>
    <row r="79" spans="1:7" x14ac:dyDescent="0.3">
      <c r="B79" s="7" t="s">
        <v>87</v>
      </c>
      <c r="C79" s="7" t="s">
        <v>68</v>
      </c>
      <c r="D79" s="7"/>
      <c r="E79" s="7" t="s">
        <v>176</v>
      </c>
      <c r="F79" s="7" t="s">
        <v>174</v>
      </c>
      <c r="G79" s="5">
        <v>2500</v>
      </c>
    </row>
    <row r="80" spans="1:7" x14ac:dyDescent="0.3">
      <c r="B80" s="7" t="s">
        <v>177</v>
      </c>
      <c r="C80" s="7" t="s">
        <v>68</v>
      </c>
      <c r="D80" s="7" t="s">
        <v>178</v>
      </c>
      <c r="E80" s="7" t="s">
        <v>179</v>
      </c>
      <c r="F80" s="7" t="s">
        <v>174</v>
      </c>
      <c r="G80" s="5">
        <v>2500</v>
      </c>
    </row>
    <row r="81" spans="1:7" x14ac:dyDescent="0.3">
      <c r="B81" s="7" t="s">
        <v>93</v>
      </c>
      <c r="C81" s="7" t="s">
        <v>68</v>
      </c>
      <c r="D81" s="7"/>
      <c r="E81" s="7" t="s">
        <v>180</v>
      </c>
      <c r="F81" s="7" t="s">
        <v>174</v>
      </c>
      <c r="G81" s="5">
        <v>2500</v>
      </c>
    </row>
    <row r="82" spans="1:7" x14ac:dyDescent="0.3">
      <c r="B82" s="7" t="s">
        <v>108</v>
      </c>
      <c r="C82" s="7" t="s">
        <v>68</v>
      </c>
      <c r="D82" s="7"/>
      <c r="E82" s="7" t="s">
        <v>181</v>
      </c>
      <c r="F82" s="7" t="s">
        <v>174</v>
      </c>
      <c r="G82" s="5">
        <v>2500</v>
      </c>
    </row>
    <row r="83" spans="1:7" x14ac:dyDescent="0.3">
      <c r="A83" s="3" t="s">
        <v>182</v>
      </c>
      <c r="G83" s="6">
        <v>15000</v>
      </c>
    </row>
    <row r="84" spans="1:7" x14ac:dyDescent="0.3">
      <c r="A84" s="3" t="s">
        <v>183</v>
      </c>
    </row>
    <row r="85" spans="1:7" x14ac:dyDescent="0.3">
      <c r="B85" s="7" t="s">
        <v>184</v>
      </c>
      <c r="C85" s="7" t="s">
        <v>68</v>
      </c>
      <c r="D85" s="7"/>
      <c r="E85" s="7" t="s">
        <v>185</v>
      </c>
      <c r="F85" s="7" t="s">
        <v>186</v>
      </c>
      <c r="G85" s="5">
        <v>3500</v>
      </c>
    </row>
    <row r="86" spans="1:7" x14ac:dyDescent="0.3">
      <c r="B86" s="7" t="s">
        <v>87</v>
      </c>
      <c r="C86" s="7" t="s">
        <v>68</v>
      </c>
      <c r="D86" s="7"/>
      <c r="E86" s="7" t="s">
        <v>187</v>
      </c>
      <c r="F86" s="7" t="s">
        <v>186</v>
      </c>
      <c r="G86" s="5">
        <v>3500</v>
      </c>
    </row>
    <row r="87" spans="1:7" x14ac:dyDescent="0.3">
      <c r="B87" s="7" t="s">
        <v>108</v>
      </c>
      <c r="C87" s="7" t="s">
        <v>68</v>
      </c>
      <c r="D87" s="7"/>
      <c r="E87" s="7" t="s">
        <v>188</v>
      </c>
      <c r="F87" s="7" t="s">
        <v>186</v>
      </c>
      <c r="G87" s="5">
        <v>3500</v>
      </c>
    </row>
    <row r="88" spans="1:7" x14ac:dyDescent="0.3">
      <c r="A88" s="3" t="s">
        <v>189</v>
      </c>
      <c r="G88" s="6">
        <v>10500</v>
      </c>
    </row>
    <row r="89" spans="1:7" x14ac:dyDescent="0.3">
      <c r="A89" s="3" t="s">
        <v>190</v>
      </c>
      <c r="G89" s="6">
        <v>54850</v>
      </c>
    </row>
    <row r="90" spans="1:7" x14ac:dyDescent="0.3">
      <c r="A90" s="3" t="s">
        <v>191</v>
      </c>
      <c r="G90" s="6">
        <v>54850</v>
      </c>
    </row>
    <row r="93" spans="1:7" x14ac:dyDescent="0.3">
      <c r="A93" s="42" t="s">
        <v>192</v>
      </c>
      <c r="B93" s="40"/>
      <c r="C93" s="40"/>
      <c r="D93" s="40"/>
      <c r="E93" s="40"/>
      <c r="F93" s="40"/>
      <c r="G93" s="40"/>
    </row>
  </sheetData>
  <mergeCells count="4">
    <mergeCell ref="A1:G1"/>
    <mergeCell ref="A2:G2"/>
    <mergeCell ref="A3:G3"/>
    <mergeCell ref="A93:G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6" workbookViewId="0">
      <selection activeCell="K23" sqref="K23"/>
    </sheetView>
  </sheetViews>
  <sheetFormatPr defaultRowHeight="14.4" x14ac:dyDescent="0.3"/>
  <cols>
    <col min="1" max="1" width="29.33203125" customWidth="1"/>
    <col min="2" max="2" width="13.6640625" customWidth="1"/>
  </cols>
  <sheetData>
    <row r="1" spans="1:2" ht="17.399999999999999" x14ac:dyDescent="0.3">
      <c r="A1" s="39" t="s">
        <v>56</v>
      </c>
      <c r="B1" s="40"/>
    </row>
    <row r="2" spans="1:2" ht="17.399999999999999" x14ac:dyDescent="0.3">
      <c r="A2" s="39" t="s">
        <v>193</v>
      </c>
      <c r="B2" s="40"/>
    </row>
    <row r="3" spans="1:2" x14ac:dyDescent="0.3">
      <c r="A3" s="41" t="s">
        <v>194</v>
      </c>
      <c r="B3" s="40"/>
    </row>
    <row r="5" spans="1:2" x14ac:dyDescent="0.3">
      <c r="A5" s="1"/>
      <c r="B5" s="2" t="s">
        <v>0</v>
      </c>
    </row>
    <row r="6" spans="1:2" x14ac:dyDescent="0.3">
      <c r="A6" s="3" t="s">
        <v>195</v>
      </c>
      <c r="B6" s="4"/>
    </row>
    <row r="7" spans="1:2" x14ac:dyDescent="0.3">
      <c r="A7" s="3" t="s">
        <v>196</v>
      </c>
      <c r="B7" s="4"/>
    </row>
    <row r="8" spans="1:2" x14ac:dyDescent="0.3">
      <c r="A8" s="3" t="s">
        <v>197</v>
      </c>
      <c r="B8" s="4"/>
    </row>
    <row r="9" spans="1:2" x14ac:dyDescent="0.3">
      <c r="A9" s="3" t="s">
        <v>198</v>
      </c>
      <c r="B9" s="5">
        <f>95677.76</f>
        <v>95677.759999999995</v>
      </c>
    </row>
    <row r="10" spans="1:2" x14ac:dyDescent="0.3">
      <c r="A10" s="3" t="s">
        <v>199</v>
      </c>
      <c r="B10" s="6">
        <f>B9</f>
        <v>95677.759999999995</v>
      </c>
    </row>
    <row r="11" spans="1:2" x14ac:dyDescent="0.3">
      <c r="A11" s="3" t="s">
        <v>200</v>
      </c>
      <c r="B11" s="4"/>
    </row>
    <row r="12" spans="1:2" x14ac:dyDescent="0.3">
      <c r="A12" s="3" t="s">
        <v>201</v>
      </c>
      <c r="B12" s="5">
        <f>10576</f>
        <v>10576</v>
      </c>
    </row>
    <row r="13" spans="1:2" x14ac:dyDescent="0.3">
      <c r="A13" s="3" t="s">
        <v>202</v>
      </c>
      <c r="B13" s="6">
        <f>B12</f>
        <v>10576</v>
      </c>
    </row>
    <row r="14" spans="1:2" x14ac:dyDescent="0.3">
      <c r="A14" s="3" t="s">
        <v>203</v>
      </c>
      <c r="B14" s="6">
        <f>(B10)+(B13)</f>
        <v>106253.75999999999</v>
      </c>
    </row>
    <row r="15" spans="1:2" x14ac:dyDescent="0.3">
      <c r="A15" s="3" t="s">
        <v>204</v>
      </c>
      <c r="B15" s="6">
        <f>B14</f>
        <v>106253.75999999999</v>
      </c>
    </row>
    <row r="16" spans="1:2" x14ac:dyDescent="0.3">
      <c r="A16" s="3" t="s">
        <v>205</v>
      </c>
      <c r="B16" s="4"/>
    </row>
    <row r="17" spans="1:2" x14ac:dyDescent="0.3">
      <c r="A17" s="3" t="s">
        <v>206</v>
      </c>
      <c r="B17" s="4"/>
    </row>
    <row r="18" spans="1:2" x14ac:dyDescent="0.3">
      <c r="A18" s="3" t="s">
        <v>207</v>
      </c>
      <c r="B18" s="4"/>
    </row>
    <row r="19" spans="1:2" x14ac:dyDescent="0.3">
      <c r="A19" s="3" t="s">
        <v>208</v>
      </c>
      <c r="B19" s="5">
        <f>57689</f>
        <v>57689</v>
      </c>
    </row>
    <row r="20" spans="1:2" x14ac:dyDescent="0.3">
      <c r="A20" s="3" t="s">
        <v>209</v>
      </c>
      <c r="B20" s="6">
        <f>B19</f>
        <v>57689</v>
      </c>
    </row>
    <row r="21" spans="1:2" x14ac:dyDescent="0.3">
      <c r="A21" s="3" t="s">
        <v>210</v>
      </c>
      <c r="B21" s="6">
        <f>B20</f>
        <v>57689</v>
      </c>
    </row>
    <row r="22" spans="1:2" x14ac:dyDescent="0.3">
      <c r="A22" s="3" t="s">
        <v>211</v>
      </c>
      <c r="B22" s="4"/>
    </row>
    <row r="23" spans="1:2" x14ac:dyDescent="0.3">
      <c r="A23" s="3" t="s">
        <v>212</v>
      </c>
      <c r="B23" s="5">
        <f>38692.67</f>
        <v>38692.67</v>
      </c>
    </row>
    <row r="24" spans="1:2" x14ac:dyDescent="0.3">
      <c r="A24" s="3" t="s">
        <v>213</v>
      </c>
      <c r="B24" s="5">
        <f>16677.97</f>
        <v>16677.97</v>
      </c>
    </row>
    <row r="25" spans="1:2" x14ac:dyDescent="0.3">
      <c r="A25" s="3" t="s">
        <v>214</v>
      </c>
      <c r="B25" s="5">
        <f>-6805.88</f>
        <v>-6805.88</v>
      </c>
    </row>
    <row r="26" spans="1:2" x14ac:dyDescent="0.3">
      <c r="A26" s="3" t="s">
        <v>215</v>
      </c>
      <c r="B26" s="6">
        <f>((B23)+(B24))+(B25)</f>
        <v>48564.76</v>
      </c>
    </row>
    <row r="27" spans="1:2" x14ac:dyDescent="0.3">
      <c r="A27" s="3" t="s">
        <v>216</v>
      </c>
      <c r="B27" s="6">
        <f>(B21)+(B26)</f>
        <v>106253.76000000001</v>
      </c>
    </row>
    <row r="28" spans="1:2" x14ac:dyDescent="0.3">
      <c r="A28" s="3"/>
      <c r="B28" s="4"/>
    </row>
    <row r="31" spans="1:2" x14ac:dyDescent="0.3">
      <c r="A31" s="42" t="s">
        <v>217</v>
      </c>
      <c r="B31" s="40"/>
    </row>
  </sheetData>
  <mergeCells count="4">
    <mergeCell ref="A1:B1"/>
    <mergeCell ref="A2:B2"/>
    <mergeCell ref="A3:B3"/>
    <mergeCell ref="A31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RDS P&amp;L November 2022</vt:lpstr>
      <vt:lpstr>RDS 2022 Members</vt:lpstr>
      <vt:lpstr>RDS Bal Sheet Nov 30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cp:lastPrinted>2024-12-03T05:13:32Z</cp:lastPrinted>
  <dcterms:created xsi:type="dcterms:W3CDTF">2022-12-02T21:23:21Z</dcterms:created>
  <dcterms:modified xsi:type="dcterms:W3CDTF">2024-12-03T05:16:42Z</dcterms:modified>
</cp:coreProperties>
</file>